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legacoop-my.sharepoint.com/personal/m_morrocchi_legacoop_coop/Documents/Contrattazione CCNL/Merci e logistica/Tabelle costo del lavoro/Novembre 24/"/>
    </mc:Choice>
  </mc:AlternateContent>
  <bookViews>
    <workbookView xWindow="0" yWindow="0" windowWidth="23040" windowHeight="8616"/>
  </bookViews>
  <sheets>
    <sheet name="IMPIEGATI non viaggiante mar 24" sheetId="5" r:id="rId1"/>
    <sheet name="OPERAI non viaggiante marzo 24" sheetId="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" l="1"/>
  <c r="E19" i="5"/>
  <c r="F19" i="5"/>
  <c r="G19" i="5"/>
  <c r="H19" i="5"/>
  <c r="I19" i="5"/>
  <c r="J19" i="5"/>
  <c r="C19" i="5"/>
  <c r="D18" i="5"/>
  <c r="E18" i="5"/>
  <c r="F18" i="5"/>
  <c r="G18" i="5"/>
  <c r="H18" i="5"/>
  <c r="I18" i="5"/>
  <c r="J18" i="5"/>
  <c r="C18" i="5"/>
  <c r="D12" i="5"/>
  <c r="E12" i="5"/>
  <c r="F12" i="5"/>
  <c r="G12" i="5"/>
  <c r="H12" i="5"/>
  <c r="I12" i="5"/>
  <c r="J12" i="5"/>
  <c r="C12" i="5"/>
  <c r="D19" i="8"/>
  <c r="E19" i="8"/>
  <c r="F19" i="8"/>
  <c r="G19" i="8"/>
  <c r="H19" i="8"/>
  <c r="I19" i="8"/>
  <c r="C19" i="8"/>
  <c r="D20" i="8"/>
  <c r="E20" i="8"/>
  <c r="F20" i="8"/>
  <c r="G20" i="8"/>
  <c r="H20" i="8"/>
  <c r="I20" i="8"/>
  <c r="C20" i="8"/>
  <c r="D13" i="8"/>
  <c r="E13" i="8"/>
  <c r="F13" i="8"/>
  <c r="G13" i="8"/>
  <c r="H13" i="8"/>
  <c r="I13" i="8"/>
  <c r="C13" i="8"/>
  <c r="C55" i="8" l="1"/>
  <c r="C54" i="5"/>
  <c r="I31" i="8"/>
  <c r="H31" i="8"/>
  <c r="G31" i="8"/>
  <c r="F31" i="8"/>
  <c r="E31" i="8"/>
  <c r="D31" i="8"/>
  <c r="C31" i="8"/>
  <c r="I30" i="8"/>
  <c r="H30" i="8"/>
  <c r="G30" i="8"/>
  <c r="F30" i="8"/>
  <c r="E30" i="8"/>
  <c r="D30" i="8"/>
  <c r="C30" i="8"/>
  <c r="D21" i="8"/>
  <c r="I21" i="8"/>
  <c r="I24" i="8" s="1"/>
  <c r="G21" i="8"/>
  <c r="F21" i="8"/>
  <c r="C21" i="8"/>
  <c r="I14" i="8"/>
  <c r="H14" i="8"/>
  <c r="H16" i="8" s="1"/>
  <c r="H32" i="8" s="1"/>
  <c r="G14" i="8"/>
  <c r="G16" i="8" s="1"/>
  <c r="G32" i="8" s="1"/>
  <c r="F14" i="8"/>
  <c r="F16" i="8" s="1"/>
  <c r="F32" i="8" s="1"/>
  <c r="E14" i="8"/>
  <c r="D14" i="8"/>
  <c r="D16" i="8" s="1"/>
  <c r="D32" i="8" s="1"/>
  <c r="C14" i="8"/>
  <c r="C16" i="8" s="1"/>
  <c r="C32" i="8" s="1"/>
  <c r="I12" i="8"/>
  <c r="I16" i="8"/>
  <c r="I32" i="8" s="1"/>
  <c r="H12" i="8"/>
  <c r="G12" i="8"/>
  <c r="F12" i="8"/>
  <c r="E12" i="8"/>
  <c r="E16" i="8"/>
  <c r="E32" i="8" s="1"/>
  <c r="D12" i="8"/>
  <c r="C12" i="8"/>
  <c r="C48" i="8"/>
  <c r="C56" i="8"/>
  <c r="C57" i="8" s="1"/>
  <c r="A37" i="8"/>
  <c r="C47" i="5"/>
  <c r="C55" i="5"/>
  <c r="C56" i="5" s="1"/>
  <c r="C14" i="5"/>
  <c r="D30" i="5"/>
  <c r="E30" i="5"/>
  <c r="F30" i="5"/>
  <c r="G30" i="5"/>
  <c r="H30" i="5"/>
  <c r="I30" i="5"/>
  <c r="J30" i="5"/>
  <c r="C30" i="5"/>
  <c r="A36" i="5"/>
  <c r="J29" i="5"/>
  <c r="I29" i="5"/>
  <c r="H29" i="5"/>
  <c r="G29" i="5"/>
  <c r="F29" i="5"/>
  <c r="E29" i="5"/>
  <c r="D29" i="5"/>
  <c r="C29" i="5"/>
  <c r="I20" i="5"/>
  <c r="G20" i="5"/>
  <c r="F20" i="5"/>
  <c r="E20" i="5"/>
  <c r="D20" i="5"/>
  <c r="J13" i="5"/>
  <c r="I13" i="5"/>
  <c r="I15" i="5" s="1"/>
  <c r="I31" i="5" s="1"/>
  <c r="H13" i="5"/>
  <c r="G13" i="5"/>
  <c r="F13" i="5"/>
  <c r="E13" i="5"/>
  <c r="E15" i="5" s="1"/>
  <c r="E31" i="5" s="1"/>
  <c r="D13" i="5"/>
  <c r="C13" i="5"/>
  <c r="J11" i="5"/>
  <c r="I11" i="5"/>
  <c r="H11" i="5"/>
  <c r="H15" i="5"/>
  <c r="H31" i="5" s="1"/>
  <c r="G11" i="5"/>
  <c r="F11" i="5"/>
  <c r="E11" i="5"/>
  <c r="D11" i="5"/>
  <c r="D15" i="5"/>
  <c r="D31" i="5" s="1"/>
  <c r="C11" i="5"/>
  <c r="C15" i="5"/>
  <c r="C31" i="5" s="1"/>
  <c r="G15" i="5"/>
  <c r="G31" i="5" s="1"/>
  <c r="F15" i="5"/>
  <c r="F31" i="5" s="1"/>
  <c r="J15" i="5"/>
  <c r="J31" i="5" s="1"/>
  <c r="E21" i="8" l="1"/>
  <c r="E24" i="8" s="1"/>
  <c r="F29" i="8"/>
  <c r="F34" i="8" s="1"/>
  <c r="I25" i="8"/>
  <c r="I26" i="8" s="1"/>
  <c r="F28" i="5"/>
  <c r="F33" i="5" s="1"/>
  <c r="F23" i="5"/>
  <c r="F24" i="5"/>
  <c r="I28" i="5"/>
  <c r="I33" i="5" s="1"/>
  <c r="I24" i="5"/>
  <c r="I23" i="5"/>
  <c r="G24" i="5"/>
  <c r="G28" i="5"/>
  <c r="G33" i="5" s="1"/>
  <c r="D24" i="5"/>
  <c r="D23" i="5"/>
  <c r="D28" i="5"/>
  <c r="D33" i="5" s="1"/>
  <c r="E28" i="5"/>
  <c r="E33" i="5" s="1"/>
  <c r="E23" i="5"/>
  <c r="E24" i="5"/>
  <c r="G23" i="5"/>
  <c r="G25" i="5" s="1"/>
  <c r="J20" i="5"/>
  <c r="C20" i="5"/>
  <c r="H20" i="5"/>
  <c r="C29" i="8"/>
  <c r="C34" i="8" s="1"/>
  <c r="C24" i="8"/>
  <c r="C25" i="8"/>
  <c r="D29" i="8"/>
  <c r="D34" i="8" s="1"/>
  <c r="D24" i="8"/>
  <c r="D25" i="8"/>
  <c r="G25" i="8"/>
  <c r="G29" i="8"/>
  <c r="G34" i="8" s="1"/>
  <c r="G24" i="8"/>
  <c r="F25" i="8"/>
  <c r="I29" i="8"/>
  <c r="I34" i="8" s="1"/>
  <c r="H21" i="8"/>
  <c r="H29" i="8" s="1"/>
  <c r="H34" i="8" s="1"/>
  <c r="F24" i="8"/>
  <c r="G35" i="5" l="1"/>
  <c r="G39" i="5" s="1"/>
  <c r="I25" i="5"/>
  <c r="I35" i="5" s="1"/>
  <c r="E29" i="8"/>
  <c r="E34" i="8" s="1"/>
  <c r="H24" i="8"/>
  <c r="C26" i="8"/>
  <c r="C36" i="8" s="1"/>
  <c r="C38" i="8" s="1"/>
  <c r="C39" i="8" s="1"/>
  <c r="E25" i="8"/>
  <c r="E26" i="8" s="1"/>
  <c r="E36" i="8" s="1"/>
  <c r="I36" i="8"/>
  <c r="I38" i="8" s="1"/>
  <c r="I39" i="8" s="1"/>
  <c r="G37" i="5"/>
  <c r="G38" i="5" s="1"/>
  <c r="I39" i="5"/>
  <c r="I36" i="5"/>
  <c r="I37" i="5"/>
  <c r="I38" i="5" s="1"/>
  <c r="H24" i="5"/>
  <c r="H28" i="5"/>
  <c r="H33" i="5" s="1"/>
  <c r="H23" i="5"/>
  <c r="C28" i="5"/>
  <c r="C33" i="5" s="1"/>
  <c r="C23" i="5"/>
  <c r="C24" i="5"/>
  <c r="E25" i="5"/>
  <c r="E35" i="5" s="1"/>
  <c r="F25" i="5"/>
  <c r="F35" i="5" s="1"/>
  <c r="J23" i="5"/>
  <c r="J24" i="5"/>
  <c r="J28" i="5"/>
  <c r="D25" i="5"/>
  <c r="D35" i="5" s="1"/>
  <c r="F26" i="8"/>
  <c r="F36" i="8" s="1"/>
  <c r="G26" i="8"/>
  <c r="G36" i="8" s="1"/>
  <c r="H25" i="8"/>
  <c r="H26" i="8" s="1"/>
  <c r="H36" i="8" s="1"/>
  <c r="D26" i="8"/>
  <c r="D36" i="8" s="1"/>
  <c r="C25" i="5" l="1"/>
  <c r="J33" i="5"/>
  <c r="G36" i="5"/>
  <c r="J25" i="5"/>
  <c r="I40" i="8"/>
  <c r="I37" i="8"/>
  <c r="I42" i="8" s="1"/>
  <c r="C37" i="8"/>
  <c r="C42" i="8" s="1"/>
  <c r="E38" i="8"/>
  <c r="E39" i="8" s="1"/>
  <c r="E37" i="8"/>
  <c r="E42" i="8" s="1"/>
  <c r="E40" i="8"/>
  <c r="C40" i="8"/>
  <c r="F37" i="5"/>
  <c r="F38" i="5" s="1"/>
  <c r="F36" i="5"/>
  <c r="F39" i="5"/>
  <c r="E37" i="5"/>
  <c r="E38" i="5" s="1"/>
  <c r="E39" i="5"/>
  <c r="E36" i="5"/>
  <c r="H25" i="5"/>
  <c r="H35" i="5" s="1"/>
  <c r="D36" i="5"/>
  <c r="D37" i="5"/>
  <c r="D38" i="5" s="1"/>
  <c r="D39" i="5"/>
  <c r="I41" i="5"/>
  <c r="I40" i="5"/>
  <c r="G41" i="5"/>
  <c r="G40" i="5"/>
  <c r="H38" i="8"/>
  <c r="H39" i="8" s="1"/>
  <c r="H37" i="8"/>
  <c r="H40" i="8"/>
  <c r="F38" i="8"/>
  <c r="F39" i="8" s="1"/>
  <c r="F40" i="8"/>
  <c r="F37" i="8"/>
  <c r="G37" i="8"/>
  <c r="G40" i="8"/>
  <c r="G38" i="8"/>
  <c r="G39" i="8" s="1"/>
  <c r="D38" i="8"/>
  <c r="D39" i="8" s="1"/>
  <c r="D40" i="8"/>
  <c r="D37" i="8"/>
  <c r="J35" i="5" l="1"/>
  <c r="J36" i="5" s="1"/>
  <c r="I41" i="8"/>
  <c r="C41" i="8"/>
  <c r="E41" i="8"/>
  <c r="E41" i="5"/>
  <c r="E40" i="5"/>
  <c r="F40" i="5"/>
  <c r="F41" i="5"/>
  <c r="D40" i="5"/>
  <c r="D41" i="5"/>
  <c r="H36" i="5"/>
  <c r="H37" i="5"/>
  <c r="H38" i="5" s="1"/>
  <c r="H39" i="5"/>
  <c r="D41" i="8"/>
  <c r="D42" i="8"/>
  <c r="G41" i="8"/>
  <c r="G42" i="8"/>
  <c r="F42" i="8"/>
  <c r="F41" i="8"/>
  <c r="H41" i="8"/>
  <c r="H42" i="8"/>
  <c r="J39" i="5" l="1"/>
  <c r="J37" i="5"/>
  <c r="J38" i="5" s="1"/>
  <c r="J41" i="5"/>
  <c r="J40" i="5"/>
  <c r="H40" i="5"/>
  <c r="H41" i="5"/>
  <c r="C35" i="5"/>
  <c r="C36" i="5" s="1"/>
  <c r="C37" i="5" l="1"/>
  <c r="C38" i="5" s="1"/>
  <c r="C40" i="5"/>
  <c r="C41" i="5"/>
  <c r="C39" i="5"/>
</calcChain>
</file>

<file path=xl/sharedStrings.xml><?xml version="1.0" encoding="utf-8"?>
<sst xmlns="http://schemas.openxmlformats.org/spreadsheetml/2006/main" count="116" uniqueCount="59">
  <si>
    <t>A-Elementi retributivi annui</t>
  </si>
  <si>
    <t>Retribuzione tabellare</t>
  </si>
  <si>
    <t>Paga base</t>
  </si>
  <si>
    <t xml:space="preserve">EDR </t>
  </si>
  <si>
    <t xml:space="preserve">Anzianità </t>
  </si>
  <si>
    <t>Q</t>
  </si>
  <si>
    <t>3S</t>
  </si>
  <si>
    <t>4j</t>
  </si>
  <si>
    <t>6j</t>
  </si>
  <si>
    <t>Livello</t>
  </si>
  <si>
    <t>EDR</t>
  </si>
  <si>
    <t>TOTALE A</t>
  </si>
  <si>
    <t>B-Oneri aggiuntivi</t>
  </si>
  <si>
    <t>Tredicesima mensilità</t>
  </si>
  <si>
    <t>Quattordicesima mensilità</t>
  </si>
  <si>
    <t>TOTALE B</t>
  </si>
  <si>
    <t>C-Oneri previd. e assist.</t>
  </si>
  <si>
    <t>TOTALE C</t>
  </si>
  <si>
    <t>D-Altri oneri</t>
  </si>
  <si>
    <t>Trattamento di fine rapporto</t>
  </si>
  <si>
    <t>Assistenza sanitaria</t>
  </si>
  <si>
    <t>TOTALE D</t>
  </si>
  <si>
    <t>Costo medio annuo lavoratori a tempo indeterminato</t>
  </si>
  <si>
    <t>Costo medio annuo lavoratori a tempo determinato</t>
  </si>
  <si>
    <t>Incidenza Irap 3.9%</t>
  </si>
  <si>
    <t>Ore annue mediamente non lavorate così suddivise:</t>
  </si>
  <si>
    <t>Ore annue teoriche</t>
  </si>
  <si>
    <t>ferie</t>
  </si>
  <si>
    <t>festivita' soppresse</t>
  </si>
  <si>
    <t>riduzione orario contrattuale</t>
  </si>
  <si>
    <t>assemblee/permessi</t>
  </si>
  <si>
    <t>diritto allo studio</t>
  </si>
  <si>
    <t>malattia/inf./maternita'</t>
  </si>
  <si>
    <t xml:space="preserve">Formazione, permessi D.L.vo 81/08 e succ. mod. </t>
  </si>
  <si>
    <t>Totale ore non lavorate</t>
  </si>
  <si>
    <t xml:space="preserve">Ore annue mediamente lavorate </t>
  </si>
  <si>
    <t>Costo medio mensile lavoratori a tempo indeterminato</t>
  </si>
  <si>
    <t>Costo medio orario mensile lavoratori a tempo indeterminato</t>
  </si>
  <si>
    <t>Bilateralità*</t>
  </si>
  <si>
    <t>COSTO MEDIO orario lavoratori a tempo indeterminato</t>
  </si>
  <si>
    <t>COSTO MEDIO orario lavoratori a tempo determinato</t>
  </si>
  <si>
    <t>Indennità di funzione</t>
  </si>
  <si>
    <t>Indumenti e DPI</t>
  </si>
  <si>
    <t>IMPIEGATI MARZO 2024</t>
  </si>
  <si>
    <t>OPERAI MARZO 2024</t>
  </si>
  <si>
    <t>Anzianità (2 scatti - 1 per il 6j)</t>
  </si>
  <si>
    <t>Anzianità (2 scatti )</t>
  </si>
  <si>
    <t>Inps (29,44%)</t>
  </si>
  <si>
    <t>Inail (2,82%)</t>
  </si>
  <si>
    <t>Inail (0,4040%)</t>
  </si>
  <si>
    <t>malattia/inf./maternita' (2,50%)</t>
  </si>
  <si>
    <t>festività</t>
  </si>
  <si>
    <t>malattia/inf./maternita' (6,50%)</t>
  </si>
  <si>
    <t>Bilateralità “EBNA” 139,80 euro annui</t>
  </si>
  <si>
    <t>Assistenza sanitaria “San. Arti” 125,00 euro annui</t>
  </si>
  <si>
    <t>Assistenza sanitaria*</t>
  </si>
  <si>
    <t>* Con riferimento al punto D-Altri oneri, per tutte le imprese cui trova applicazione la Sezione Quarta - Artigiana del CCNL, in luogo di quanto indicato in tabella, trovano applicazione i seguenti importi:</t>
  </si>
  <si>
    <t xml:space="preserve">** per le confederazioni cooperative trova applicazione il Fondo pensionistico complementare "Previdenza Cooperativa, per le confederazioni artigiane trova applicazione la previdenza complemenare di settore </t>
  </si>
  <si>
    <t>Previdenza complementare (1%)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</si>
</sst>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21212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1" applyFont="1"/>
    <xf numFmtId="164" fontId="0" fillId="0" borderId="0" xfId="0" applyNumberFormat="1"/>
    <xf numFmtId="10" fontId="0" fillId="0" borderId="0" xfId="0" applyNumberFormat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/>
    <xf numFmtId="164" fontId="2" fillId="2" borderId="0" xfId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10" fontId="0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0" fillId="2" borderId="5" xfId="0" applyFill="1" applyBorder="1"/>
    <xf numFmtId="164" fontId="2" fillId="4" borderId="0" xfId="1" applyFont="1" applyFill="1"/>
    <xf numFmtId="164" fontId="2" fillId="4" borderId="0" xfId="1" applyFont="1" applyFill="1" applyAlignment="1">
      <alignment horizontal="center" vertical="center"/>
    </xf>
    <xf numFmtId="0" fontId="3" fillId="0" borderId="0" xfId="0" applyFont="1"/>
    <xf numFmtId="0" fontId="5" fillId="0" borderId="0" xfId="0" applyFont="1"/>
    <xf numFmtId="164" fontId="5" fillId="0" borderId="0" xfId="1" applyFont="1"/>
    <xf numFmtId="0" fontId="0" fillId="0" borderId="0" xfId="0" applyBorder="1" applyAlignment="1">
      <alignment horizontal="center"/>
    </xf>
    <xf numFmtId="165" fontId="0" fillId="0" borderId="0" xfId="0" applyNumberFormat="1" applyFont="1"/>
    <xf numFmtId="0" fontId="4" fillId="0" borderId="0" xfId="0" applyFont="1"/>
    <xf numFmtId="0" fontId="4" fillId="0" borderId="0" xfId="0" applyFont="1" applyFill="1"/>
    <xf numFmtId="164" fontId="5" fillId="0" borderId="0" xfId="1" applyFont="1" applyFill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5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9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0" xfId="0" applyFont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workbookViewId="0">
      <selection activeCell="B4" sqref="B4"/>
    </sheetView>
  </sheetViews>
  <sheetFormatPr defaultRowHeight="14.4" outlineLevelRow="1" x14ac:dyDescent="0.3"/>
  <cols>
    <col min="2" max="2" width="55.77734375" bestFit="1" customWidth="1"/>
    <col min="3" max="10" width="13.88671875" customWidth="1"/>
    <col min="15" max="15" width="53.6640625" bestFit="1" customWidth="1"/>
  </cols>
  <sheetData>
    <row r="1" spans="1:10" ht="15" thickBot="1" x14ac:dyDescent="0.35">
      <c r="H1" s="32" t="s">
        <v>43</v>
      </c>
      <c r="I1" s="33"/>
      <c r="J1" s="34"/>
    </row>
    <row r="3" spans="1:10" outlineLevel="1" x14ac:dyDescent="0.3">
      <c r="B3" s="10" t="s">
        <v>9</v>
      </c>
      <c r="C3" s="9" t="s">
        <v>5</v>
      </c>
      <c r="D3" s="9">
        <v>1</v>
      </c>
      <c r="E3" s="9">
        <v>2</v>
      </c>
      <c r="F3" s="9" t="s">
        <v>6</v>
      </c>
      <c r="G3" s="9">
        <v>3</v>
      </c>
      <c r="H3" s="9">
        <v>4</v>
      </c>
      <c r="I3" s="9" t="s">
        <v>7</v>
      </c>
      <c r="J3" s="9">
        <v>5</v>
      </c>
    </row>
    <row r="4" spans="1:10" outlineLevel="1" x14ac:dyDescent="0.3">
      <c r="B4" t="s">
        <v>2</v>
      </c>
      <c r="C4" s="1">
        <v>2361.89</v>
      </c>
      <c r="D4" s="1">
        <v>2218.21</v>
      </c>
      <c r="E4" s="1">
        <v>2037.77</v>
      </c>
      <c r="F4" s="1">
        <v>1840.37</v>
      </c>
      <c r="G4" s="1">
        <v>1790.78</v>
      </c>
      <c r="H4" s="1">
        <v>1703.42</v>
      </c>
      <c r="I4" s="1">
        <v>1659.07</v>
      </c>
      <c r="J4" s="1">
        <v>1624.06</v>
      </c>
    </row>
    <row r="5" spans="1:10" outlineLevel="1" x14ac:dyDescent="0.3">
      <c r="B5" t="s">
        <v>3</v>
      </c>
      <c r="C5" s="1">
        <v>12.803030303030303</v>
      </c>
      <c r="D5" s="1">
        <v>12.045454545454545</v>
      </c>
      <c r="E5" s="1">
        <v>11.060606060606061</v>
      </c>
      <c r="F5" s="1">
        <v>10</v>
      </c>
      <c r="G5" s="1">
        <v>9.6969696969696972</v>
      </c>
      <c r="H5" s="1">
        <v>9.2424242424242422</v>
      </c>
      <c r="I5" s="1">
        <v>9.0151515151515156</v>
      </c>
      <c r="J5" s="1">
        <v>8.787878787878789</v>
      </c>
    </row>
    <row r="6" spans="1:10" outlineLevel="1" x14ac:dyDescent="0.3">
      <c r="B6" t="s">
        <v>4</v>
      </c>
      <c r="C6" s="1">
        <v>30.99</v>
      </c>
      <c r="D6" s="1">
        <v>29.44</v>
      </c>
      <c r="E6" s="1">
        <v>26.86</v>
      </c>
      <c r="F6" s="1">
        <v>24.79</v>
      </c>
      <c r="G6" s="1">
        <v>24.27</v>
      </c>
      <c r="H6" s="1">
        <v>23.24</v>
      </c>
      <c r="I6" s="1">
        <v>22.34</v>
      </c>
      <c r="J6" s="1">
        <v>22.21</v>
      </c>
    </row>
    <row r="7" spans="1:10" x14ac:dyDescent="0.3">
      <c r="B7" s="18" t="s">
        <v>41</v>
      </c>
      <c r="C7" s="19">
        <v>51.65</v>
      </c>
    </row>
    <row r="8" spans="1:10" x14ac:dyDescent="0.3">
      <c r="B8" s="5" t="s">
        <v>9</v>
      </c>
      <c r="C8" s="6" t="s">
        <v>5</v>
      </c>
      <c r="D8" s="6">
        <v>1</v>
      </c>
      <c r="E8" s="6">
        <v>2</v>
      </c>
      <c r="F8" s="6" t="s">
        <v>6</v>
      </c>
      <c r="G8" s="6">
        <v>3</v>
      </c>
      <c r="H8" s="6">
        <v>4</v>
      </c>
      <c r="I8" s="6" t="s">
        <v>7</v>
      </c>
      <c r="J8" s="6">
        <v>5</v>
      </c>
    </row>
    <row r="10" spans="1:10" x14ac:dyDescent="0.3">
      <c r="B10" s="4" t="s">
        <v>0</v>
      </c>
    </row>
    <row r="11" spans="1:10" x14ac:dyDescent="0.3">
      <c r="B11" s="4" t="s">
        <v>1</v>
      </c>
      <c r="C11" s="1">
        <f>+C4*12</f>
        <v>28342.68</v>
      </c>
      <c r="D11" s="1">
        <f t="shared" ref="D11:J11" si="0">+D4*12</f>
        <v>26618.52</v>
      </c>
      <c r="E11" s="1">
        <f t="shared" si="0"/>
        <v>24453.239999999998</v>
      </c>
      <c r="F11" s="1">
        <f t="shared" si="0"/>
        <v>22084.44</v>
      </c>
      <c r="G11" s="1">
        <f t="shared" si="0"/>
        <v>21489.360000000001</v>
      </c>
      <c r="H11" s="1">
        <f t="shared" si="0"/>
        <v>20441.04</v>
      </c>
      <c r="I11" s="1">
        <f t="shared" si="0"/>
        <v>19908.84</v>
      </c>
      <c r="J11" s="1">
        <f t="shared" si="0"/>
        <v>19488.72</v>
      </c>
    </row>
    <row r="12" spans="1:10" x14ac:dyDescent="0.3">
      <c r="B12" s="22" t="s">
        <v>10</v>
      </c>
      <c r="C12" s="19">
        <f>+C5*12</f>
        <v>153.63636363636363</v>
      </c>
      <c r="D12" s="19">
        <f t="shared" ref="D12:J12" si="1">+D5*12</f>
        <v>144.54545454545453</v>
      </c>
      <c r="E12" s="19">
        <f t="shared" si="1"/>
        <v>132.72727272727272</v>
      </c>
      <c r="F12" s="19">
        <f t="shared" si="1"/>
        <v>120</v>
      </c>
      <c r="G12" s="19">
        <f t="shared" si="1"/>
        <v>116.36363636363637</v>
      </c>
      <c r="H12" s="19">
        <f t="shared" si="1"/>
        <v>110.90909090909091</v>
      </c>
      <c r="I12" s="19">
        <f t="shared" si="1"/>
        <v>108.18181818181819</v>
      </c>
      <c r="J12" s="19">
        <f t="shared" si="1"/>
        <v>105.45454545454547</v>
      </c>
    </row>
    <row r="13" spans="1:10" x14ac:dyDescent="0.3">
      <c r="A13" s="18">
        <v>3</v>
      </c>
      <c r="B13" s="4" t="s">
        <v>46</v>
      </c>
      <c r="C13" s="1">
        <f>+C6*$A$13*12</f>
        <v>1115.6399999999999</v>
      </c>
      <c r="D13" s="1">
        <f t="shared" ref="D13:J13" si="2">+D6*$A$13*12</f>
        <v>1059.8400000000001</v>
      </c>
      <c r="E13" s="1">
        <f t="shared" si="2"/>
        <v>966.96</v>
      </c>
      <c r="F13" s="1">
        <f t="shared" si="2"/>
        <v>892.44</v>
      </c>
      <c r="G13" s="1">
        <f t="shared" si="2"/>
        <v>873.72</v>
      </c>
      <c r="H13" s="1">
        <f t="shared" si="2"/>
        <v>836.64</v>
      </c>
      <c r="I13" s="1">
        <f t="shared" si="2"/>
        <v>804.24</v>
      </c>
      <c r="J13" s="1">
        <f t="shared" si="2"/>
        <v>799.56</v>
      </c>
    </row>
    <row r="14" spans="1:10" x14ac:dyDescent="0.3">
      <c r="A14" s="17"/>
      <c r="B14" s="22" t="s">
        <v>41</v>
      </c>
      <c r="C14" s="19">
        <f>C7*12</f>
        <v>619.79999999999995</v>
      </c>
      <c r="D14" s="1"/>
      <c r="E14" s="1"/>
      <c r="F14" s="1"/>
      <c r="G14" s="1"/>
      <c r="H14" s="1"/>
      <c r="I14" s="1"/>
      <c r="J14" s="1"/>
    </row>
    <row r="15" spans="1:10" x14ac:dyDescent="0.3">
      <c r="B15" s="7" t="s">
        <v>11</v>
      </c>
      <c r="C15" s="8">
        <f>SUM(C11:C14)</f>
        <v>30231.756363636363</v>
      </c>
      <c r="D15" s="8">
        <f t="shared" ref="D15:J15" si="3">SUM(D11:D13)</f>
        <v>27822.905454545456</v>
      </c>
      <c r="E15" s="8">
        <f t="shared" si="3"/>
        <v>25552.927272727269</v>
      </c>
      <c r="F15" s="8">
        <f t="shared" si="3"/>
        <v>23096.879999999997</v>
      </c>
      <c r="G15" s="8">
        <f t="shared" si="3"/>
        <v>22479.443636363638</v>
      </c>
      <c r="H15" s="8">
        <f t="shared" si="3"/>
        <v>21388.589090909092</v>
      </c>
      <c r="I15" s="8">
        <f t="shared" si="3"/>
        <v>20821.261818181822</v>
      </c>
      <c r="J15" s="8">
        <f t="shared" si="3"/>
        <v>20393.734545454547</v>
      </c>
    </row>
    <row r="16" spans="1:10" x14ac:dyDescent="0.3">
      <c r="B16" s="4"/>
    </row>
    <row r="17" spans="1:11" x14ac:dyDescent="0.3">
      <c r="B17" s="4" t="s">
        <v>12</v>
      </c>
    </row>
    <row r="18" spans="1:11" x14ac:dyDescent="0.3">
      <c r="B18" s="22" t="s">
        <v>13</v>
      </c>
      <c r="C18" s="28">
        <f>C4+C5+C7+(C6*$A$13)</f>
        <v>2519.3130303030302</v>
      </c>
      <c r="D18" s="28">
        <f t="shared" ref="D18:J18" si="4">D4+D5+D7+(D6*$A$13)</f>
        <v>2318.5754545454547</v>
      </c>
      <c r="E18" s="28">
        <f t="shared" si="4"/>
        <v>2129.4106060606059</v>
      </c>
      <c r="F18" s="28">
        <f t="shared" si="4"/>
        <v>1924.7399999999998</v>
      </c>
      <c r="G18" s="28">
        <f t="shared" si="4"/>
        <v>1873.2869696969697</v>
      </c>
      <c r="H18" s="28">
        <f t="shared" si="4"/>
        <v>1782.3824242424243</v>
      </c>
      <c r="I18" s="28">
        <f t="shared" si="4"/>
        <v>1735.1051515151514</v>
      </c>
      <c r="J18" s="28">
        <f t="shared" si="4"/>
        <v>1699.4778787878786</v>
      </c>
    </row>
    <row r="19" spans="1:11" x14ac:dyDescent="0.3">
      <c r="B19" s="22" t="s">
        <v>14</v>
      </c>
      <c r="C19" s="28">
        <f>C4+C7+(C6*$A$13)</f>
        <v>2506.5099999999998</v>
      </c>
      <c r="D19" s="28">
        <f t="shared" ref="D19:J19" si="5">D4+D7+(D6*$A$13)</f>
        <v>2306.5300000000002</v>
      </c>
      <c r="E19" s="28">
        <f t="shared" si="5"/>
        <v>2118.35</v>
      </c>
      <c r="F19" s="28">
        <f t="shared" si="5"/>
        <v>1914.7399999999998</v>
      </c>
      <c r="G19" s="28">
        <f t="shared" si="5"/>
        <v>1863.59</v>
      </c>
      <c r="H19" s="28">
        <f t="shared" si="5"/>
        <v>1773.14</v>
      </c>
      <c r="I19" s="28">
        <f t="shared" si="5"/>
        <v>1726.09</v>
      </c>
      <c r="J19" s="28">
        <f t="shared" si="5"/>
        <v>1690.69</v>
      </c>
    </row>
    <row r="20" spans="1:11" x14ac:dyDescent="0.3">
      <c r="B20" s="7" t="s">
        <v>15</v>
      </c>
      <c r="C20" s="8">
        <f t="shared" ref="C20:J20" si="6">SUM(C18:C19)</f>
        <v>5025.8230303030305</v>
      </c>
      <c r="D20" s="8">
        <f t="shared" si="6"/>
        <v>4625.1054545454554</v>
      </c>
      <c r="E20" s="8">
        <f t="shared" si="6"/>
        <v>4247.7606060606058</v>
      </c>
      <c r="F20" s="8">
        <f t="shared" si="6"/>
        <v>3839.4799999999996</v>
      </c>
      <c r="G20" s="8">
        <f t="shared" si="6"/>
        <v>3736.8769696969694</v>
      </c>
      <c r="H20" s="8">
        <f t="shared" si="6"/>
        <v>3555.5224242424247</v>
      </c>
      <c r="I20" s="8">
        <f t="shared" si="6"/>
        <v>3461.1951515151513</v>
      </c>
      <c r="J20" s="8">
        <f t="shared" si="6"/>
        <v>3390.1678787878786</v>
      </c>
    </row>
    <row r="21" spans="1:11" x14ac:dyDescent="0.3">
      <c r="B21" s="4"/>
    </row>
    <row r="22" spans="1:11" x14ac:dyDescent="0.3">
      <c r="B22" s="4" t="s">
        <v>16</v>
      </c>
    </row>
    <row r="23" spans="1:11" x14ac:dyDescent="0.3">
      <c r="A23" s="3">
        <v>0.2944</v>
      </c>
      <c r="B23" s="4" t="s">
        <v>47</v>
      </c>
      <c r="C23" s="1">
        <f t="shared" ref="C23:J23" si="7">+(C15+C20)*$A$23</f>
        <v>10379.831373575757</v>
      </c>
      <c r="D23" s="1">
        <f t="shared" si="7"/>
        <v>9552.6944116363629</v>
      </c>
      <c r="E23" s="1">
        <f t="shared" si="7"/>
        <v>8773.3225115151508</v>
      </c>
      <c r="F23" s="1">
        <f t="shared" si="7"/>
        <v>7930.0643839999993</v>
      </c>
      <c r="G23" s="1">
        <f t="shared" si="7"/>
        <v>7718.0847864242423</v>
      </c>
      <c r="H23" s="1">
        <f t="shared" si="7"/>
        <v>7343.5464300606072</v>
      </c>
      <c r="I23" s="1">
        <f t="shared" si="7"/>
        <v>7148.7553318787886</v>
      </c>
      <c r="J23" s="1">
        <f t="shared" si="7"/>
        <v>7001.9808736969699</v>
      </c>
    </row>
    <row r="24" spans="1:11" x14ac:dyDescent="0.3">
      <c r="A24" s="21">
        <v>4.0400000000000002E-3</v>
      </c>
      <c r="B24" s="4" t="s">
        <v>49</v>
      </c>
      <c r="C24" s="1">
        <f t="shared" ref="C24:J24" si="8">+(C15+C20)*$A$24</f>
        <v>142.44062075151516</v>
      </c>
      <c r="D24" s="1">
        <f t="shared" si="8"/>
        <v>131.08996407272727</v>
      </c>
      <c r="E24" s="1">
        <f t="shared" si="8"/>
        <v>120.39477903030301</v>
      </c>
      <c r="F24" s="1">
        <f t="shared" si="8"/>
        <v>108.8228944</v>
      </c>
      <c r="G24" s="1">
        <f t="shared" si="8"/>
        <v>105.91393524848485</v>
      </c>
      <c r="H24" s="1">
        <f t="shared" si="8"/>
        <v>100.77421052121214</v>
      </c>
      <c r="I24" s="1">
        <f t="shared" si="8"/>
        <v>98.101126157575777</v>
      </c>
      <c r="J24" s="1">
        <f t="shared" si="8"/>
        <v>96.086965793939399</v>
      </c>
    </row>
    <row r="25" spans="1:11" x14ac:dyDescent="0.3">
      <c r="B25" s="7" t="s">
        <v>17</v>
      </c>
      <c r="C25" s="8">
        <f>SUM(C23:C24)</f>
        <v>10522.271994327271</v>
      </c>
      <c r="D25" s="8">
        <f t="shared" ref="D25:J25" si="9">SUM(D23:D24)</f>
        <v>9683.7843757090905</v>
      </c>
      <c r="E25" s="8">
        <f t="shared" si="9"/>
        <v>8893.7172905454536</v>
      </c>
      <c r="F25" s="8">
        <f t="shared" si="9"/>
        <v>8038.8872783999996</v>
      </c>
      <c r="G25" s="8">
        <f t="shared" si="9"/>
        <v>7823.9987216727268</v>
      </c>
      <c r="H25" s="8">
        <f t="shared" si="9"/>
        <v>7444.3206405818191</v>
      </c>
      <c r="I25" s="8">
        <f t="shared" si="9"/>
        <v>7246.8564580363645</v>
      </c>
      <c r="J25" s="8">
        <f t="shared" si="9"/>
        <v>7098.0678394909091</v>
      </c>
      <c r="K25" s="2"/>
    </row>
    <row r="26" spans="1:11" x14ac:dyDescent="0.3">
      <c r="B26" s="4"/>
    </row>
    <row r="27" spans="1:11" x14ac:dyDescent="0.3">
      <c r="B27" s="4" t="s">
        <v>18</v>
      </c>
    </row>
    <row r="28" spans="1:11" x14ac:dyDescent="0.3">
      <c r="B28" s="4" t="s">
        <v>19</v>
      </c>
      <c r="C28" s="1">
        <f>+((C15+C20)/13.5)-((C15+C20)*0.5%)</f>
        <v>2435.384650729517</v>
      </c>
      <c r="D28" s="1">
        <f t="shared" ref="D28:J28" si="10">+((D15+D20)/13.5)-((D15+D20)*0.5%)</f>
        <v>2241.3163090909093</v>
      </c>
      <c r="E28" s="1">
        <f t="shared" si="10"/>
        <v>2058.4549219977548</v>
      </c>
      <c r="F28" s="1">
        <f t="shared" si="10"/>
        <v>1860.6041259259257</v>
      </c>
      <c r="G28" s="1">
        <f t="shared" si="10"/>
        <v>1810.8680714927048</v>
      </c>
      <c r="H28" s="1">
        <f t="shared" si="10"/>
        <v>1722.9914065095402</v>
      </c>
      <c r="I28" s="1">
        <f t="shared" si="10"/>
        <v>1677.288231425365</v>
      </c>
      <c r="J28" s="1">
        <f t="shared" si="10"/>
        <v>1642.8510378226711</v>
      </c>
    </row>
    <row r="29" spans="1:11" x14ac:dyDescent="0.3">
      <c r="B29" s="4" t="s">
        <v>20</v>
      </c>
      <c r="C29" s="1">
        <f>150*1.1</f>
        <v>165</v>
      </c>
      <c r="D29" s="1">
        <f t="shared" ref="D29:J29" si="11">150*1.1</f>
        <v>165</v>
      </c>
      <c r="E29" s="1">
        <f t="shared" si="11"/>
        <v>165</v>
      </c>
      <c r="F29" s="1">
        <f t="shared" si="11"/>
        <v>165</v>
      </c>
      <c r="G29" s="1">
        <f t="shared" si="11"/>
        <v>165</v>
      </c>
      <c r="H29" s="1">
        <f t="shared" si="11"/>
        <v>165</v>
      </c>
      <c r="I29" s="1">
        <f t="shared" si="11"/>
        <v>165</v>
      </c>
      <c r="J29" s="1">
        <f t="shared" si="11"/>
        <v>165</v>
      </c>
    </row>
    <row r="30" spans="1:11" x14ac:dyDescent="0.3">
      <c r="B30" s="4" t="s">
        <v>38</v>
      </c>
      <c r="C30" s="1">
        <f>3.5*12*(1+10%)</f>
        <v>46.2</v>
      </c>
      <c r="D30" s="1">
        <f t="shared" ref="D30:J30" si="12">3.5*12*(1+10%)</f>
        <v>46.2</v>
      </c>
      <c r="E30" s="1">
        <f t="shared" si="12"/>
        <v>46.2</v>
      </c>
      <c r="F30" s="1">
        <f t="shared" si="12"/>
        <v>46.2</v>
      </c>
      <c r="G30" s="1">
        <f t="shared" si="12"/>
        <v>46.2</v>
      </c>
      <c r="H30" s="1">
        <f t="shared" si="12"/>
        <v>46.2</v>
      </c>
      <c r="I30" s="1">
        <f t="shared" si="12"/>
        <v>46.2</v>
      </c>
      <c r="J30" s="1">
        <f t="shared" si="12"/>
        <v>46.2</v>
      </c>
    </row>
    <row r="31" spans="1:11" x14ac:dyDescent="0.3">
      <c r="A31" s="31">
        <v>0.01</v>
      </c>
      <c r="B31" s="4" t="s">
        <v>58</v>
      </c>
      <c r="C31" s="1">
        <f>C15*$A$31</f>
        <v>302.31756363636362</v>
      </c>
      <c r="D31" s="1">
        <f t="shared" ref="D31:J31" si="13">D15*$A$31</f>
        <v>278.22905454545457</v>
      </c>
      <c r="E31" s="1">
        <f t="shared" si="13"/>
        <v>255.52927272727268</v>
      </c>
      <c r="F31" s="1">
        <f t="shared" si="13"/>
        <v>230.96879999999999</v>
      </c>
      <c r="G31" s="1">
        <f t="shared" si="13"/>
        <v>224.79443636363638</v>
      </c>
      <c r="H31" s="1">
        <f t="shared" si="13"/>
        <v>213.88589090909093</v>
      </c>
      <c r="I31" s="1">
        <f t="shared" si="13"/>
        <v>208.21261818181821</v>
      </c>
      <c r="J31" s="1">
        <f t="shared" si="13"/>
        <v>203.93734545454546</v>
      </c>
    </row>
    <row r="32" spans="1:11" x14ac:dyDescent="0.3">
      <c r="B32" s="23" t="s">
        <v>42</v>
      </c>
      <c r="C32" s="1"/>
      <c r="D32" s="1"/>
      <c r="E32" s="1"/>
      <c r="F32" s="1">
        <v>20.004000000000001</v>
      </c>
      <c r="G32" s="1">
        <v>20.004000000000001</v>
      </c>
      <c r="H32" s="1">
        <v>20.004000000000001</v>
      </c>
      <c r="I32" s="1">
        <v>20.004000000000001</v>
      </c>
      <c r="J32" s="1">
        <v>20.004000000000001</v>
      </c>
    </row>
    <row r="33" spans="1:10" x14ac:dyDescent="0.3">
      <c r="B33" s="7" t="s">
        <v>21</v>
      </c>
      <c r="C33" s="8">
        <f>SUM(C28:C32)</f>
        <v>2948.9022143658804</v>
      </c>
      <c r="D33" s="8">
        <f t="shared" ref="D33:J33" si="14">SUM(D28:D32)</f>
        <v>2730.7453636363634</v>
      </c>
      <c r="E33" s="8">
        <f t="shared" si="14"/>
        <v>2525.1841947250273</v>
      </c>
      <c r="F33" s="8">
        <f t="shared" si="14"/>
        <v>2322.7769259259258</v>
      </c>
      <c r="G33" s="8">
        <f t="shared" si="14"/>
        <v>2266.8665078563413</v>
      </c>
      <c r="H33" s="8">
        <f t="shared" si="14"/>
        <v>2168.081297418631</v>
      </c>
      <c r="I33" s="8">
        <f t="shared" si="14"/>
        <v>2116.704849607183</v>
      </c>
      <c r="J33" s="8">
        <f t="shared" si="14"/>
        <v>2077.9923832772165</v>
      </c>
    </row>
    <row r="34" spans="1:10" x14ac:dyDescent="0.3">
      <c r="B34" s="4"/>
    </row>
    <row r="35" spans="1:10" x14ac:dyDescent="0.3">
      <c r="A35" s="3"/>
      <c r="B35" s="7" t="s">
        <v>22</v>
      </c>
      <c r="C35" s="8">
        <f t="shared" ref="C35:J35" si="15">+C15+C20+C25+C33</f>
        <v>48728.75360263254</v>
      </c>
      <c r="D35" s="8">
        <f t="shared" si="15"/>
        <v>44862.540648436363</v>
      </c>
      <c r="E35" s="8">
        <f t="shared" si="15"/>
        <v>41219.58936405836</v>
      </c>
      <c r="F35" s="8">
        <f t="shared" si="15"/>
        <v>37298.02420432592</v>
      </c>
      <c r="G35" s="8">
        <f t="shared" si="15"/>
        <v>36307.185835589677</v>
      </c>
      <c r="H35" s="8">
        <f t="shared" si="15"/>
        <v>34556.513453151972</v>
      </c>
      <c r="I35" s="8">
        <f t="shared" si="15"/>
        <v>33646.018277340518</v>
      </c>
      <c r="J35" s="8">
        <f t="shared" si="15"/>
        <v>32959.96264701055</v>
      </c>
    </row>
    <row r="36" spans="1:10" x14ac:dyDescent="0.3">
      <c r="A36" s="3">
        <f>1.4%+3.9%</f>
        <v>5.2999999999999999E-2</v>
      </c>
      <c r="B36" s="7" t="s">
        <v>23</v>
      </c>
      <c r="C36" s="8">
        <f t="shared" ref="C36:J36" si="16">+C35+(C35-C24)*$A$36</f>
        <v>51303.828190672233</v>
      </c>
      <c r="D36" s="8">
        <f t="shared" si="16"/>
        <v>47233.307534707637</v>
      </c>
      <c r="E36" s="8">
        <f t="shared" si="16"/>
        <v>43397.846677064845</v>
      </c>
      <c r="F36" s="8">
        <f t="shared" si="16"/>
        <v>39269.051873751996</v>
      </c>
      <c r="G36" s="8">
        <f t="shared" si="16"/>
        <v>38225.853246307757</v>
      </c>
      <c r="H36" s="8">
        <f t="shared" si="16"/>
        <v>36382.667633011406</v>
      </c>
      <c r="I36" s="8">
        <f t="shared" si="16"/>
        <v>35424.057886353214</v>
      </c>
      <c r="J36" s="8">
        <f t="shared" si="16"/>
        <v>34701.74805811503</v>
      </c>
    </row>
    <row r="37" spans="1:10" x14ac:dyDescent="0.3">
      <c r="B37" s="7" t="s">
        <v>36</v>
      </c>
      <c r="C37" s="8">
        <f>C35/12</f>
        <v>4060.729466886045</v>
      </c>
      <c r="D37" s="8">
        <f t="shared" ref="D37:J37" si="17">D35/12</f>
        <v>3738.5450540363636</v>
      </c>
      <c r="E37" s="8">
        <f t="shared" si="17"/>
        <v>3434.9657803381965</v>
      </c>
      <c r="F37" s="8">
        <f t="shared" si="17"/>
        <v>3108.1686836938266</v>
      </c>
      <c r="G37" s="8">
        <f t="shared" si="17"/>
        <v>3025.5988196324729</v>
      </c>
      <c r="H37" s="8">
        <f t="shared" si="17"/>
        <v>2879.7094544293309</v>
      </c>
      <c r="I37" s="8">
        <f t="shared" si="17"/>
        <v>2803.834856445043</v>
      </c>
      <c r="J37" s="8">
        <f t="shared" si="17"/>
        <v>2746.6635539175459</v>
      </c>
    </row>
    <row r="38" spans="1:10" x14ac:dyDescent="0.3">
      <c r="B38" s="7" t="s">
        <v>37</v>
      </c>
      <c r="C38" s="8">
        <f>+C37/168</f>
        <v>24.171008731464553</v>
      </c>
      <c r="D38" s="8">
        <f t="shared" ref="D38:J38" si="18">+D37/168</f>
        <v>22.25324436926407</v>
      </c>
      <c r="E38" s="8">
        <f t="shared" si="18"/>
        <v>20.446224882965456</v>
      </c>
      <c r="F38" s="8">
        <f t="shared" si="18"/>
        <v>18.501004069606111</v>
      </c>
      <c r="G38" s="8">
        <f t="shared" si="18"/>
        <v>18.009516783526625</v>
      </c>
      <c r="H38" s="8">
        <f t="shared" si="18"/>
        <v>17.141127704936494</v>
      </c>
      <c r="I38" s="8">
        <f t="shared" si="18"/>
        <v>16.689493193125255</v>
      </c>
      <c r="J38" s="8">
        <f t="shared" si="18"/>
        <v>16.349187820937772</v>
      </c>
    </row>
    <row r="39" spans="1:10" x14ac:dyDescent="0.3">
      <c r="B39" s="15" t="s">
        <v>39</v>
      </c>
      <c r="C39" s="16">
        <f>+C35/$C$56</f>
        <v>29.856475462675412</v>
      </c>
      <c r="D39" s="16">
        <f t="shared" ref="D39:J39" si="19">+D35/$C$56</f>
        <v>27.487617577621695</v>
      </c>
      <c r="E39" s="16">
        <f t="shared" si="19"/>
        <v>25.255553804336966</v>
      </c>
      <c r="F39" s="16">
        <f t="shared" si="19"/>
        <v>22.852781204782747</v>
      </c>
      <c r="G39" s="16">
        <f t="shared" si="19"/>
        <v>22.245687050787133</v>
      </c>
      <c r="H39" s="16">
        <f t="shared" si="19"/>
        <v>21.173036856290654</v>
      </c>
      <c r="I39" s="16">
        <f t="shared" si="19"/>
        <v>20.6151695835675</v>
      </c>
      <c r="J39" s="16">
        <f t="shared" si="19"/>
        <v>20.194818115930733</v>
      </c>
    </row>
    <row r="40" spans="1:10" x14ac:dyDescent="0.3">
      <c r="B40" s="7" t="s">
        <v>24</v>
      </c>
      <c r="C40" s="8">
        <f>+(C36-C35)/$C$56</f>
        <v>1.5777676539670937</v>
      </c>
      <c r="D40" s="8">
        <f t="shared" ref="D40:J40" si="20">+(D36-D35)/$C$56</f>
        <v>1.4525867816134272</v>
      </c>
      <c r="E40" s="8">
        <f t="shared" si="20"/>
        <v>1.3346347117250688</v>
      </c>
      <c r="F40" s="8">
        <f t="shared" si="20"/>
        <v>1.2076635435488485</v>
      </c>
      <c r="G40" s="8">
        <f t="shared" si="20"/>
        <v>1.1755820174732434</v>
      </c>
      <c r="H40" s="8">
        <f t="shared" si="20"/>
        <v>1.1188984620179117</v>
      </c>
      <c r="I40" s="8">
        <f t="shared" si="20"/>
        <v>1.0894183009697298</v>
      </c>
      <c r="J40" s="8">
        <f t="shared" si="20"/>
        <v>1.0672050800223516</v>
      </c>
    </row>
    <row r="41" spans="1:10" x14ac:dyDescent="0.3">
      <c r="B41" s="15" t="s">
        <v>40</v>
      </c>
      <c r="C41" s="16">
        <f>+C36/$C$56</f>
        <v>31.434243116642506</v>
      </c>
      <c r="D41" s="16">
        <f t="shared" ref="D41:J41" si="21">+D36/$C$56</f>
        <v>28.940204359235121</v>
      </c>
      <c r="E41" s="16">
        <f t="shared" si="21"/>
        <v>26.590188516062035</v>
      </c>
      <c r="F41" s="16">
        <f t="shared" si="21"/>
        <v>24.060444748331598</v>
      </c>
      <c r="G41" s="16">
        <f t="shared" si="21"/>
        <v>23.421269068260376</v>
      </c>
      <c r="H41" s="16">
        <f t="shared" si="21"/>
        <v>22.291935318308564</v>
      </c>
      <c r="I41" s="16">
        <f t="shared" si="21"/>
        <v>21.704587884537233</v>
      </c>
      <c r="J41" s="16">
        <f t="shared" si="21"/>
        <v>21.262023195953088</v>
      </c>
    </row>
    <row r="42" spans="1:10" x14ac:dyDescent="0.3">
      <c r="C42" s="2"/>
    </row>
    <row r="44" spans="1:10" x14ac:dyDescent="0.3">
      <c r="B44" s="12" t="s">
        <v>26</v>
      </c>
      <c r="C44" s="25">
        <v>2036</v>
      </c>
    </row>
    <row r="45" spans="1:10" x14ac:dyDescent="0.3">
      <c r="B45" s="13" t="s">
        <v>25</v>
      </c>
      <c r="C45" s="26"/>
    </row>
    <row r="46" spans="1:10" x14ac:dyDescent="0.3">
      <c r="B46" s="13" t="s">
        <v>27</v>
      </c>
      <c r="C46" s="26">
        <v>172</v>
      </c>
    </row>
    <row r="47" spans="1:10" x14ac:dyDescent="0.3">
      <c r="B47" s="13" t="s">
        <v>51</v>
      </c>
      <c r="C47" s="26">
        <f>7.75*12</f>
        <v>93</v>
      </c>
    </row>
    <row r="48" spans="1:10" x14ac:dyDescent="0.3">
      <c r="B48" s="13" t="s">
        <v>28</v>
      </c>
      <c r="C48" s="26">
        <v>32</v>
      </c>
    </row>
    <row r="49" spans="1:10" x14ac:dyDescent="0.3">
      <c r="B49" s="13" t="s">
        <v>29</v>
      </c>
      <c r="C49" s="26">
        <v>40</v>
      </c>
    </row>
    <row r="50" spans="1:10" hidden="1" x14ac:dyDescent="0.3">
      <c r="B50" s="13" t="s">
        <v>30</v>
      </c>
      <c r="C50" s="26">
        <v>0</v>
      </c>
    </row>
    <row r="51" spans="1:10" hidden="1" x14ac:dyDescent="0.3">
      <c r="B51" s="13" t="s">
        <v>31</v>
      </c>
      <c r="C51" s="26">
        <v>0</v>
      </c>
    </row>
    <row r="52" spans="1:10" hidden="1" x14ac:dyDescent="0.3">
      <c r="A52" s="3">
        <v>6.5000000000000002E-2</v>
      </c>
      <c r="B52" s="13" t="s">
        <v>32</v>
      </c>
      <c r="C52" s="26">
        <v>0</v>
      </c>
    </row>
    <row r="53" spans="1:10" x14ac:dyDescent="0.3">
      <c r="B53" s="13" t="s">
        <v>33</v>
      </c>
      <c r="C53" s="26">
        <v>16</v>
      </c>
    </row>
    <row r="54" spans="1:10" x14ac:dyDescent="0.3">
      <c r="A54" s="3">
        <v>2.5000000000000001E-2</v>
      </c>
      <c r="B54" s="13" t="s">
        <v>50</v>
      </c>
      <c r="C54" s="26">
        <f>C44*A54</f>
        <v>50.900000000000006</v>
      </c>
    </row>
    <row r="55" spans="1:10" x14ac:dyDescent="0.3">
      <c r="B55" s="13" t="s">
        <v>34</v>
      </c>
      <c r="C55" s="26">
        <f>SUM(C46:C54)</f>
        <v>403.9</v>
      </c>
    </row>
    <row r="56" spans="1:10" x14ac:dyDescent="0.3">
      <c r="B56" s="14" t="s">
        <v>35</v>
      </c>
      <c r="C56" s="27">
        <f>+C44-C55</f>
        <v>1632.1</v>
      </c>
    </row>
    <row r="58" spans="1:10" x14ac:dyDescent="0.3">
      <c r="B58" s="35" t="s">
        <v>56</v>
      </c>
      <c r="C58" s="35"/>
      <c r="D58" s="35"/>
      <c r="E58" s="35"/>
      <c r="F58" s="35"/>
      <c r="G58" s="35"/>
      <c r="H58" s="35"/>
      <c r="I58" s="35"/>
      <c r="J58" s="35"/>
    </row>
    <row r="59" spans="1:10" x14ac:dyDescent="0.3">
      <c r="B59" s="29" t="s">
        <v>54</v>
      </c>
    </row>
    <row r="60" spans="1:10" x14ac:dyDescent="0.3">
      <c r="B60" s="29" t="s">
        <v>53</v>
      </c>
    </row>
    <row r="62" spans="1:10" x14ac:dyDescent="0.3">
      <c r="B62" s="30" t="s">
        <v>57</v>
      </c>
    </row>
  </sheetData>
  <mergeCells count="2">
    <mergeCell ref="H1:J1"/>
    <mergeCell ref="B58:J58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opLeftCell="A49" workbookViewId="0">
      <selection activeCell="C13" sqref="C13"/>
    </sheetView>
  </sheetViews>
  <sheetFormatPr defaultRowHeight="14.4" outlineLevelRow="1" x14ac:dyDescent="0.3"/>
  <cols>
    <col min="2" max="2" width="55.77734375" bestFit="1" customWidth="1"/>
    <col min="3" max="9" width="13.88671875" customWidth="1"/>
    <col min="14" max="14" width="53.6640625" bestFit="1" customWidth="1"/>
  </cols>
  <sheetData>
    <row r="1" spans="1:9" ht="15" thickBot="1" x14ac:dyDescent="0.35"/>
    <row r="2" spans="1:9" ht="15" thickBot="1" x14ac:dyDescent="0.35">
      <c r="G2" s="32" t="s">
        <v>44</v>
      </c>
      <c r="H2" s="33"/>
      <c r="I2" s="34"/>
    </row>
    <row r="3" spans="1:9" x14ac:dyDescent="0.3">
      <c r="G3" s="20"/>
      <c r="H3" s="20"/>
      <c r="I3" s="20"/>
    </row>
    <row r="4" spans="1:9" outlineLevel="1" x14ac:dyDescent="0.3">
      <c r="B4" s="10" t="s">
        <v>9</v>
      </c>
      <c r="C4" s="9" t="s">
        <v>6</v>
      </c>
      <c r="D4" s="9">
        <v>3</v>
      </c>
      <c r="E4" s="9">
        <v>4</v>
      </c>
      <c r="F4" s="9" t="s">
        <v>7</v>
      </c>
      <c r="G4" s="9">
        <v>5</v>
      </c>
      <c r="H4" s="9">
        <v>6</v>
      </c>
      <c r="I4" s="9" t="s">
        <v>8</v>
      </c>
    </row>
    <row r="5" spans="1:9" outlineLevel="1" x14ac:dyDescent="0.3">
      <c r="B5" s="18" t="s">
        <v>2</v>
      </c>
      <c r="C5" s="19">
        <v>1840.37</v>
      </c>
      <c r="D5" s="19">
        <v>1790.78</v>
      </c>
      <c r="E5" s="19">
        <v>1703.42</v>
      </c>
      <c r="F5" s="19">
        <v>1659.07</v>
      </c>
      <c r="G5" s="19">
        <v>1624.06</v>
      </c>
      <c r="H5" s="19">
        <v>1518.05</v>
      </c>
      <c r="I5" s="19">
        <v>1396.35</v>
      </c>
    </row>
    <row r="6" spans="1:9" outlineLevel="1" x14ac:dyDescent="0.3">
      <c r="B6" s="18" t="s">
        <v>3</v>
      </c>
      <c r="C6" s="19">
        <v>10</v>
      </c>
      <c r="D6" s="19">
        <v>9.6969696969696972</v>
      </c>
      <c r="E6" s="19">
        <v>9.2424242424242422</v>
      </c>
      <c r="F6" s="19">
        <v>9.0151515151515156</v>
      </c>
      <c r="G6" s="19">
        <v>8.787878787878789</v>
      </c>
      <c r="H6" s="19">
        <v>8.2575757575757578</v>
      </c>
      <c r="I6" s="19">
        <v>7.5757575757575761</v>
      </c>
    </row>
    <row r="7" spans="1:9" outlineLevel="1" x14ac:dyDescent="0.3">
      <c r="B7" s="18" t="s">
        <v>4</v>
      </c>
      <c r="C7" s="19">
        <v>24.79</v>
      </c>
      <c r="D7" s="19">
        <v>24.27</v>
      </c>
      <c r="E7" s="19">
        <v>23.24</v>
      </c>
      <c r="F7" s="19">
        <v>22.34</v>
      </c>
      <c r="G7" s="19">
        <v>22.21</v>
      </c>
      <c r="H7" s="19">
        <v>20.66</v>
      </c>
      <c r="I7" s="19">
        <v>18.78</v>
      </c>
    </row>
    <row r="8" spans="1:9" x14ac:dyDescent="0.3">
      <c r="B8" s="18" t="s">
        <v>41</v>
      </c>
      <c r="C8" s="18"/>
      <c r="D8" s="18"/>
      <c r="E8" s="18"/>
      <c r="F8" s="18"/>
      <c r="G8" s="18"/>
      <c r="H8" s="18"/>
      <c r="I8" s="18"/>
    </row>
    <row r="9" spans="1:9" x14ac:dyDescent="0.3">
      <c r="B9" s="5" t="s">
        <v>9</v>
      </c>
      <c r="C9" s="6" t="s">
        <v>6</v>
      </c>
      <c r="D9" s="6">
        <v>3</v>
      </c>
      <c r="E9" s="6">
        <v>4</v>
      </c>
      <c r="F9" s="6" t="s">
        <v>7</v>
      </c>
      <c r="G9" s="6">
        <v>5</v>
      </c>
      <c r="H9" s="6">
        <v>6</v>
      </c>
      <c r="I9" s="6" t="s">
        <v>8</v>
      </c>
    </row>
    <row r="11" spans="1:9" x14ac:dyDescent="0.3">
      <c r="B11" s="4" t="s">
        <v>0</v>
      </c>
    </row>
    <row r="12" spans="1:9" x14ac:dyDescent="0.3">
      <c r="B12" s="4" t="s">
        <v>1</v>
      </c>
      <c r="C12" s="1">
        <f t="shared" ref="C12:I12" si="0">+C5*12</f>
        <v>22084.44</v>
      </c>
      <c r="D12" s="1">
        <f t="shared" si="0"/>
        <v>21489.360000000001</v>
      </c>
      <c r="E12" s="1">
        <f t="shared" si="0"/>
        <v>20441.04</v>
      </c>
      <c r="F12" s="1">
        <f t="shared" si="0"/>
        <v>19908.84</v>
      </c>
      <c r="G12" s="1">
        <f t="shared" si="0"/>
        <v>19488.72</v>
      </c>
      <c r="H12" s="1">
        <f t="shared" si="0"/>
        <v>18216.599999999999</v>
      </c>
      <c r="I12" s="1">
        <f t="shared" si="0"/>
        <v>16756.199999999997</v>
      </c>
    </row>
    <row r="13" spans="1:9" x14ac:dyDescent="0.3">
      <c r="B13" s="22" t="s">
        <v>10</v>
      </c>
      <c r="C13" s="19">
        <f>+C6*12</f>
        <v>120</v>
      </c>
      <c r="D13" s="19">
        <f t="shared" ref="D13:I13" si="1">+D6*12</f>
        <v>116.36363636363637</v>
      </c>
      <c r="E13" s="19">
        <f t="shared" si="1"/>
        <v>110.90909090909091</v>
      </c>
      <c r="F13" s="19">
        <f t="shared" si="1"/>
        <v>108.18181818181819</v>
      </c>
      <c r="G13" s="19">
        <f t="shared" si="1"/>
        <v>105.45454545454547</v>
      </c>
      <c r="H13" s="19">
        <f t="shared" si="1"/>
        <v>99.090909090909093</v>
      </c>
      <c r="I13" s="19">
        <f t="shared" si="1"/>
        <v>90.909090909090907</v>
      </c>
    </row>
    <row r="14" spans="1:9" x14ac:dyDescent="0.3">
      <c r="A14" s="18">
        <v>3</v>
      </c>
      <c r="B14" s="4" t="s">
        <v>45</v>
      </c>
      <c r="C14" s="1">
        <f t="shared" ref="C14:H14" si="2">+C7*$A$14*12</f>
        <v>892.44</v>
      </c>
      <c r="D14" s="1">
        <f t="shared" si="2"/>
        <v>873.72</v>
      </c>
      <c r="E14" s="1">
        <f t="shared" si="2"/>
        <v>836.64</v>
      </c>
      <c r="F14" s="1">
        <f t="shared" si="2"/>
        <v>804.24</v>
      </c>
      <c r="G14" s="1">
        <f t="shared" si="2"/>
        <v>799.56</v>
      </c>
      <c r="H14" s="1">
        <f t="shared" si="2"/>
        <v>743.76</v>
      </c>
      <c r="I14" s="1">
        <f>+I7*12</f>
        <v>225.36</v>
      </c>
    </row>
    <row r="15" spans="1:9" x14ac:dyDescent="0.3">
      <c r="A15" s="17"/>
      <c r="B15" s="22" t="s">
        <v>41</v>
      </c>
      <c r="C15" s="19"/>
      <c r="D15" s="19"/>
      <c r="E15" s="19"/>
      <c r="F15" s="19"/>
      <c r="G15" s="19"/>
      <c r="H15" s="19"/>
      <c r="I15" s="19"/>
    </row>
    <row r="16" spans="1:9" x14ac:dyDescent="0.3">
      <c r="B16" s="7" t="s">
        <v>11</v>
      </c>
      <c r="C16" s="8">
        <f t="shared" ref="C16:I16" si="3">SUM(C12:C14)</f>
        <v>23096.879999999997</v>
      </c>
      <c r="D16" s="8">
        <f t="shared" si="3"/>
        <v>22479.443636363638</v>
      </c>
      <c r="E16" s="8">
        <f t="shared" si="3"/>
        <v>21388.589090909092</v>
      </c>
      <c r="F16" s="8">
        <f t="shared" si="3"/>
        <v>20821.261818181822</v>
      </c>
      <c r="G16" s="8">
        <f t="shared" si="3"/>
        <v>20393.734545454547</v>
      </c>
      <c r="H16" s="8">
        <f t="shared" si="3"/>
        <v>19059.450909090905</v>
      </c>
      <c r="I16" s="8">
        <f t="shared" si="3"/>
        <v>17072.46909090909</v>
      </c>
    </row>
    <row r="17" spans="1:10" x14ac:dyDescent="0.3">
      <c r="B17" s="4"/>
    </row>
    <row r="18" spans="1:10" x14ac:dyDescent="0.3">
      <c r="B18" s="4" t="s">
        <v>12</v>
      </c>
    </row>
    <row r="19" spans="1:10" x14ac:dyDescent="0.3">
      <c r="B19" s="4" t="s">
        <v>13</v>
      </c>
      <c r="C19" s="2">
        <f>+C5+C6+(C7*$A$14)</f>
        <v>1924.7399999999998</v>
      </c>
      <c r="D19" s="2">
        <f t="shared" ref="D19:I19" si="4">+D5+D6+(D7*$A$14)</f>
        <v>1873.2869696969697</v>
      </c>
      <c r="E19" s="2">
        <f t="shared" si="4"/>
        <v>1782.3824242424243</v>
      </c>
      <c r="F19" s="2">
        <f t="shared" si="4"/>
        <v>1735.1051515151514</v>
      </c>
      <c r="G19" s="2">
        <f t="shared" si="4"/>
        <v>1699.4778787878786</v>
      </c>
      <c r="H19" s="2">
        <f t="shared" si="4"/>
        <v>1588.2875757575757</v>
      </c>
      <c r="I19" s="2">
        <f t="shared" si="4"/>
        <v>1460.2657575757573</v>
      </c>
    </row>
    <row r="20" spans="1:10" x14ac:dyDescent="0.3">
      <c r="B20" s="4" t="s">
        <v>14</v>
      </c>
      <c r="C20" s="2">
        <f>C5+C7*$A$14</f>
        <v>1914.7399999999998</v>
      </c>
      <c r="D20" s="2">
        <f t="shared" ref="D20:I20" si="5">D5+D7*$A$14</f>
        <v>1863.59</v>
      </c>
      <c r="E20" s="2">
        <f t="shared" si="5"/>
        <v>1773.14</v>
      </c>
      <c r="F20" s="2">
        <f t="shared" si="5"/>
        <v>1726.09</v>
      </c>
      <c r="G20" s="2">
        <f t="shared" si="5"/>
        <v>1690.69</v>
      </c>
      <c r="H20" s="2">
        <f t="shared" si="5"/>
        <v>1580.03</v>
      </c>
      <c r="I20" s="2">
        <f t="shared" si="5"/>
        <v>1452.6899999999998</v>
      </c>
    </row>
    <row r="21" spans="1:10" x14ac:dyDescent="0.3">
      <c r="B21" s="7" t="s">
        <v>15</v>
      </c>
      <c r="C21" s="8">
        <f t="shared" ref="C21:I21" si="6">SUM(C19:C20)</f>
        <v>3839.4799999999996</v>
      </c>
      <c r="D21" s="8">
        <f t="shared" si="6"/>
        <v>3736.8769696969694</v>
      </c>
      <c r="E21" s="8">
        <f t="shared" si="6"/>
        <v>3555.5224242424247</v>
      </c>
      <c r="F21" s="8">
        <f t="shared" si="6"/>
        <v>3461.1951515151513</v>
      </c>
      <c r="G21" s="8">
        <f t="shared" si="6"/>
        <v>3390.1678787878786</v>
      </c>
      <c r="H21" s="8">
        <f t="shared" si="6"/>
        <v>3168.3175757575755</v>
      </c>
      <c r="I21" s="8">
        <f t="shared" si="6"/>
        <v>2912.9557575757572</v>
      </c>
    </row>
    <row r="22" spans="1:10" x14ac:dyDescent="0.3">
      <c r="B22" s="4"/>
    </row>
    <row r="23" spans="1:10" x14ac:dyDescent="0.3">
      <c r="B23" s="4" t="s">
        <v>16</v>
      </c>
    </row>
    <row r="24" spans="1:10" x14ac:dyDescent="0.3">
      <c r="A24" s="3">
        <v>0.2944</v>
      </c>
      <c r="B24" s="4" t="s">
        <v>47</v>
      </c>
      <c r="C24" s="1">
        <f t="shared" ref="C24:I24" si="7">+(C16+C21)*$A$24</f>
        <v>7930.0643839999993</v>
      </c>
      <c r="D24" s="1">
        <f t="shared" si="7"/>
        <v>7718.0847864242423</v>
      </c>
      <c r="E24" s="1">
        <f t="shared" si="7"/>
        <v>7343.5464300606072</v>
      </c>
      <c r="F24" s="1">
        <f t="shared" si="7"/>
        <v>7148.7553318787886</v>
      </c>
      <c r="G24" s="1">
        <f t="shared" si="7"/>
        <v>7001.9808736969699</v>
      </c>
      <c r="H24" s="1">
        <f t="shared" si="7"/>
        <v>6543.8550419393923</v>
      </c>
      <c r="I24" s="1">
        <f t="shared" si="7"/>
        <v>5883.7090753939392</v>
      </c>
    </row>
    <row r="25" spans="1:10" x14ac:dyDescent="0.3">
      <c r="A25" s="11">
        <v>2.819E-2</v>
      </c>
      <c r="B25" s="4" t="s">
        <v>48</v>
      </c>
      <c r="C25" s="1">
        <f t="shared" ref="C25:I25" si="8">+(C16+C21)*$A$25</f>
        <v>759.33598839999991</v>
      </c>
      <c r="D25" s="1">
        <f t="shared" si="8"/>
        <v>739.03807788484846</v>
      </c>
      <c r="E25" s="1">
        <f t="shared" si="8"/>
        <v>703.17450361212127</v>
      </c>
      <c r="F25" s="1">
        <f t="shared" si="8"/>
        <v>684.52246197575766</v>
      </c>
      <c r="G25" s="1">
        <f t="shared" si="8"/>
        <v>670.46820933939398</v>
      </c>
      <c r="H25" s="1">
        <f t="shared" si="8"/>
        <v>626.60079358787857</v>
      </c>
      <c r="I25" s="1">
        <f t="shared" si="8"/>
        <v>563.38912647878783</v>
      </c>
    </row>
    <row r="26" spans="1:10" x14ac:dyDescent="0.3">
      <c r="B26" s="7" t="s">
        <v>17</v>
      </c>
      <c r="C26" s="8">
        <f t="shared" ref="C26:I26" si="9">SUM(C24:C25)</f>
        <v>8689.4003723999995</v>
      </c>
      <c r="D26" s="8">
        <f t="shared" si="9"/>
        <v>8457.1228643090908</v>
      </c>
      <c r="E26" s="8">
        <f t="shared" si="9"/>
        <v>8046.7209336727283</v>
      </c>
      <c r="F26" s="8">
        <f t="shared" si="9"/>
        <v>7833.277793854546</v>
      </c>
      <c r="G26" s="8">
        <f t="shared" si="9"/>
        <v>7672.4490830363638</v>
      </c>
      <c r="H26" s="8">
        <f t="shared" si="9"/>
        <v>7170.4558355272711</v>
      </c>
      <c r="I26" s="8">
        <f t="shared" si="9"/>
        <v>6447.0982018727273</v>
      </c>
      <c r="J26" s="2"/>
    </row>
    <row r="27" spans="1:10" x14ac:dyDescent="0.3">
      <c r="B27" s="4"/>
    </row>
    <row r="28" spans="1:10" x14ac:dyDescent="0.3">
      <c r="B28" s="4" t="s">
        <v>18</v>
      </c>
    </row>
    <row r="29" spans="1:10" x14ac:dyDescent="0.3">
      <c r="B29" s="4" t="s">
        <v>19</v>
      </c>
      <c r="C29" s="1">
        <f t="shared" ref="C29:I29" si="10">+((C16+C21)/13.5)-((C16+C21)*0.5%)</f>
        <v>1860.6041259259257</v>
      </c>
      <c r="D29" s="1">
        <f t="shared" si="10"/>
        <v>1810.8680714927048</v>
      </c>
      <c r="E29" s="1">
        <f t="shared" si="10"/>
        <v>1722.9914065095402</v>
      </c>
      <c r="F29" s="1">
        <f t="shared" si="10"/>
        <v>1677.288231425365</v>
      </c>
      <c r="G29" s="1">
        <f t="shared" si="10"/>
        <v>1642.8510378226711</v>
      </c>
      <c r="H29" s="1">
        <f t="shared" si="10"/>
        <v>1535.3625268237929</v>
      </c>
      <c r="I29" s="1">
        <f t="shared" si="10"/>
        <v>1380.4747163860829</v>
      </c>
    </row>
    <row r="30" spans="1:10" x14ac:dyDescent="0.3">
      <c r="B30" s="4" t="s">
        <v>55</v>
      </c>
      <c r="C30" s="1">
        <f t="shared" ref="C30:I30" si="11">150*1.1</f>
        <v>165</v>
      </c>
      <c r="D30" s="1">
        <f t="shared" si="11"/>
        <v>165</v>
      </c>
      <c r="E30" s="1">
        <f t="shared" si="11"/>
        <v>165</v>
      </c>
      <c r="F30" s="1">
        <f t="shared" si="11"/>
        <v>165</v>
      </c>
      <c r="G30" s="1">
        <f t="shared" si="11"/>
        <v>165</v>
      </c>
      <c r="H30" s="1">
        <f t="shared" si="11"/>
        <v>165</v>
      </c>
      <c r="I30" s="1">
        <f t="shared" si="11"/>
        <v>165</v>
      </c>
    </row>
    <row r="31" spans="1:10" x14ac:dyDescent="0.3">
      <c r="B31" s="4" t="s">
        <v>38</v>
      </c>
      <c r="C31" s="1">
        <f t="shared" ref="C31:I31" si="12">3.5*12*(1+10%)</f>
        <v>46.2</v>
      </c>
      <c r="D31" s="1">
        <f t="shared" si="12"/>
        <v>46.2</v>
      </c>
      <c r="E31" s="1">
        <f t="shared" si="12"/>
        <v>46.2</v>
      </c>
      <c r="F31" s="1">
        <f t="shared" si="12"/>
        <v>46.2</v>
      </c>
      <c r="G31" s="1">
        <f t="shared" si="12"/>
        <v>46.2</v>
      </c>
      <c r="H31" s="1">
        <f t="shared" si="12"/>
        <v>46.2</v>
      </c>
      <c r="I31" s="1">
        <f t="shared" si="12"/>
        <v>46.2</v>
      </c>
    </row>
    <row r="32" spans="1:10" x14ac:dyDescent="0.3">
      <c r="A32" s="31">
        <v>0.01</v>
      </c>
      <c r="B32" s="4" t="s">
        <v>58</v>
      </c>
      <c r="C32" s="1">
        <f>C16*$A$32</f>
        <v>230.96879999999999</v>
      </c>
      <c r="D32" s="1">
        <f t="shared" ref="D32:I32" si="13">D16*$A$32</f>
        <v>224.79443636363638</v>
      </c>
      <c r="E32" s="1">
        <f t="shared" si="13"/>
        <v>213.88589090909093</v>
      </c>
      <c r="F32" s="1">
        <f t="shared" si="13"/>
        <v>208.21261818181821</v>
      </c>
      <c r="G32" s="1">
        <f t="shared" si="13"/>
        <v>203.93734545454546</v>
      </c>
      <c r="H32" s="1">
        <f t="shared" si="13"/>
        <v>190.59450909090904</v>
      </c>
      <c r="I32" s="1">
        <f t="shared" si="13"/>
        <v>170.7246909090909</v>
      </c>
    </row>
    <row r="33" spans="1:9" x14ac:dyDescent="0.3">
      <c r="B33" s="23" t="s">
        <v>42</v>
      </c>
      <c r="C33" s="24">
        <v>250</v>
      </c>
      <c r="D33" s="24">
        <v>250</v>
      </c>
      <c r="E33" s="24">
        <v>250</v>
      </c>
      <c r="F33" s="24">
        <v>250</v>
      </c>
      <c r="G33" s="24">
        <v>250</v>
      </c>
      <c r="H33" s="24">
        <v>250</v>
      </c>
      <c r="I33" s="24">
        <v>250</v>
      </c>
    </row>
    <row r="34" spans="1:9" x14ac:dyDescent="0.3">
      <c r="B34" s="7" t="s">
        <v>21</v>
      </c>
      <c r="C34" s="8">
        <f t="shared" ref="C34:I34" si="14">SUM(C29:C33)</f>
        <v>2552.7729259259258</v>
      </c>
      <c r="D34" s="8">
        <f t="shared" si="14"/>
        <v>2496.8625078563414</v>
      </c>
      <c r="E34" s="8">
        <f t="shared" si="14"/>
        <v>2398.0772974186311</v>
      </c>
      <c r="F34" s="8">
        <f t="shared" si="14"/>
        <v>2346.700849607183</v>
      </c>
      <c r="G34" s="8">
        <f t="shared" si="14"/>
        <v>2307.9883832772166</v>
      </c>
      <c r="H34" s="8">
        <f t="shared" si="14"/>
        <v>2187.1570359147017</v>
      </c>
      <c r="I34" s="8">
        <f t="shared" si="14"/>
        <v>2012.3994072951739</v>
      </c>
    </row>
    <row r="35" spans="1:9" x14ac:dyDescent="0.3">
      <c r="B35" s="4"/>
    </row>
    <row r="36" spans="1:9" x14ac:dyDescent="0.3">
      <c r="A36" s="3"/>
      <c r="B36" s="7" t="s">
        <v>22</v>
      </c>
      <c r="C36" s="8">
        <f t="shared" ref="C36:I36" si="15">+C16+C21+C26+C34</f>
        <v>38178.533298325921</v>
      </c>
      <c r="D36" s="8">
        <f t="shared" si="15"/>
        <v>37170.305978226039</v>
      </c>
      <c r="E36" s="8">
        <f t="shared" si="15"/>
        <v>35388.909746242884</v>
      </c>
      <c r="F36" s="8">
        <f t="shared" si="15"/>
        <v>34462.435613158697</v>
      </c>
      <c r="G36" s="8">
        <f t="shared" si="15"/>
        <v>33764.339890556003</v>
      </c>
      <c r="H36" s="8">
        <f t="shared" si="15"/>
        <v>31585.381356290451</v>
      </c>
      <c r="I36" s="8">
        <f t="shared" si="15"/>
        <v>28444.922457652749</v>
      </c>
    </row>
    <row r="37" spans="1:9" x14ac:dyDescent="0.3">
      <c r="A37" s="3">
        <f>1.4%+3.9%</f>
        <v>5.2999999999999999E-2</v>
      </c>
      <c r="B37" s="7" t="s">
        <v>23</v>
      </c>
      <c r="C37" s="8">
        <f t="shared" ref="C37" si="16">+C36+(C36-C25)*$A$37</f>
        <v>40161.750755751993</v>
      </c>
      <c r="D37" s="8">
        <f t="shared" ref="D37" si="17">+D36+(D36-D25)*$A$37</f>
        <v>39101.163176944123</v>
      </c>
      <c r="E37" s="8">
        <f t="shared" ref="E37" si="18">+E36+(E36-E25)*$A$37</f>
        <v>37227.253714102313</v>
      </c>
      <c r="F37" s="8">
        <f t="shared" ref="F37" si="19">+F36+(F36-F25)*$A$37</f>
        <v>36252.665010171389</v>
      </c>
      <c r="G37" s="8">
        <f t="shared" ref="G37" si="20">+G36+(G36-G25)*$A$37</f>
        <v>35518.315089660486</v>
      </c>
      <c r="H37" s="8">
        <f t="shared" ref="H37" si="21">+H36+(H36-H25)*$A$37</f>
        <v>33226.196726113689</v>
      </c>
      <c r="I37" s="8">
        <f t="shared" ref="I37" si="22">+I36+(I36-I25)*$A$37</f>
        <v>29922.643724204969</v>
      </c>
    </row>
    <row r="38" spans="1:9" x14ac:dyDescent="0.3">
      <c r="B38" s="7" t="s">
        <v>36</v>
      </c>
      <c r="C38" s="8">
        <f t="shared" ref="C38:I38" si="23">C36/12</f>
        <v>3181.54444152716</v>
      </c>
      <c r="D38" s="8">
        <f t="shared" si="23"/>
        <v>3097.5254981855032</v>
      </c>
      <c r="E38" s="8">
        <f t="shared" si="23"/>
        <v>2949.0758121869071</v>
      </c>
      <c r="F38" s="8">
        <f t="shared" si="23"/>
        <v>2871.8696344298914</v>
      </c>
      <c r="G38" s="8">
        <f t="shared" si="23"/>
        <v>2813.6949908796669</v>
      </c>
      <c r="H38" s="8">
        <f t="shared" si="23"/>
        <v>2632.1151130242042</v>
      </c>
      <c r="I38" s="8">
        <f t="shared" si="23"/>
        <v>2370.4102048043956</v>
      </c>
    </row>
    <row r="39" spans="1:9" x14ac:dyDescent="0.3">
      <c r="B39" s="7" t="s">
        <v>37</v>
      </c>
      <c r="C39" s="8">
        <f t="shared" ref="C39:I39" si="24">+C38/168</f>
        <v>18.937764532899763</v>
      </c>
      <c r="D39" s="8">
        <f t="shared" si="24"/>
        <v>18.437651774913711</v>
      </c>
      <c r="E39" s="8">
        <f t="shared" si="24"/>
        <v>17.554022691588735</v>
      </c>
      <c r="F39" s="8">
        <f t="shared" si="24"/>
        <v>17.094462109701734</v>
      </c>
      <c r="G39" s="8">
        <f t="shared" si="24"/>
        <v>16.748184469521828</v>
      </c>
      <c r="H39" s="8">
        <f t="shared" si="24"/>
        <v>15.667351863239311</v>
      </c>
      <c r="I39" s="8">
        <f t="shared" si="24"/>
        <v>14.109584552407117</v>
      </c>
    </row>
    <row r="40" spans="1:9" x14ac:dyDescent="0.3">
      <c r="B40" s="15" t="s">
        <v>39</v>
      </c>
      <c r="C40" s="16">
        <f t="shared" ref="C40:I40" si="25">+C36/$C$57</f>
        <v>25.115473316794677</v>
      </c>
      <c r="D40" s="16">
        <f t="shared" si="25"/>
        <v>24.45221823160411</v>
      </c>
      <c r="E40" s="16">
        <f t="shared" si="25"/>
        <v>23.280339543090601</v>
      </c>
      <c r="F40" s="16">
        <f t="shared" si="25"/>
        <v>22.670865203509393</v>
      </c>
      <c r="G40" s="16">
        <f t="shared" si="25"/>
        <v>22.21162795736916</v>
      </c>
      <c r="H40" s="16">
        <f t="shared" si="25"/>
        <v>20.77821576999872</v>
      </c>
      <c r="I40" s="16">
        <f t="shared" si="25"/>
        <v>18.712287488917159</v>
      </c>
    </row>
    <row r="41" spans="1:9" x14ac:dyDescent="0.3">
      <c r="B41" s="7" t="s">
        <v>24</v>
      </c>
      <c r="C41" s="8">
        <f t="shared" ref="C41:I41" si="26">+(C37-C36)/$C$57</f>
        <v>1.304645328938552</v>
      </c>
      <c r="D41" s="8">
        <f t="shared" si="26"/>
        <v>1.2702005096427151</v>
      </c>
      <c r="E41" s="8">
        <f t="shared" si="26"/>
        <v>1.2093413466433109</v>
      </c>
      <c r="F41" s="8">
        <f t="shared" si="26"/>
        <v>1.1776895225460438</v>
      </c>
      <c r="G41" s="8">
        <f t="shared" si="26"/>
        <v>1.1538399594140485</v>
      </c>
      <c r="H41" s="8">
        <f t="shared" si="26"/>
        <v>1.0793985802589521</v>
      </c>
      <c r="I41" s="8">
        <f t="shared" si="26"/>
        <v>0.97210829839237711</v>
      </c>
    </row>
    <row r="42" spans="1:9" x14ac:dyDescent="0.3">
      <c r="B42" s="15" t="s">
        <v>40</v>
      </c>
      <c r="C42" s="16">
        <f t="shared" ref="C42:I42" si="27">+C37/$C$57</f>
        <v>26.420118645733229</v>
      </c>
      <c r="D42" s="16">
        <f t="shared" si="27"/>
        <v>25.722418741246827</v>
      </c>
      <c r="E42" s="16">
        <f t="shared" si="27"/>
        <v>24.489680889733911</v>
      </c>
      <c r="F42" s="16">
        <f t="shared" si="27"/>
        <v>23.848554726055436</v>
      </c>
      <c r="G42" s="16">
        <f t="shared" si="27"/>
        <v>23.365467916783206</v>
      </c>
      <c r="H42" s="16">
        <f t="shared" si="27"/>
        <v>21.85761435025767</v>
      </c>
      <c r="I42" s="16">
        <f t="shared" si="27"/>
        <v>19.684395787309537</v>
      </c>
    </row>
    <row r="43" spans="1:9" x14ac:dyDescent="0.3">
      <c r="C43" s="2"/>
    </row>
    <row r="45" spans="1:9" x14ac:dyDescent="0.3">
      <c r="B45" s="12" t="s">
        <v>26</v>
      </c>
      <c r="C45" s="25">
        <v>2036</v>
      </c>
    </row>
    <row r="46" spans="1:9" x14ac:dyDescent="0.3">
      <c r="B46" s="13" t="s">
        <v>25</v>
      </c>
      <c r="C46" s="26"/>
    </row>
    <row r="47" spans="1:9" x14ac:dyDescent="0.3">
      <c r="B47" s="13" t="s">
        <v>27</v>
      </c>
      <c r="C47" s="26">
        <v>172</v>
      </c>
    </row>
    <row r="48" spans="1:9" x14ac:dyDescent="0.3">
      <c r="B48" s="13" t="s">
        <v>51</v>
      </c>
      <c r="C48" s="26">
        <f>7.75*12</f>
        <v>93</v>
      </c>
    </row>
    <row r="49" spans="1:10" x14ac:dyDescent="0.3">
      <c r="B49" s="13" t="s">
        <v>28</v>
      </c>
      <c r="C49" s="26">
        <v>32</v>
      </c>
    </row>
    <row r="50" spans="1:10" x14ac:dyDescent="0.3">
      <c r="B50" s="13" t="s">
        <v>29</v>
      </c>
      <c r="C50" s="26">
        <v>40</v>
      </c>
    </row>
    <row r="51" spans="1:10" hidden="1" x14ac:dyDescent="0.3">
      <c r="B51" s="13" t="s">
        <v>30</v>
      </c>
      <c r="C51" s="26">
        <v>0</v>
      </c>
    </row>
    <row r="52" spans="1:10" hidden="1" x14ac:dyDescent="0.3">
      <c r="B52" s="13" t="s">
        <v>31</v>
      </c>
      <c r="C52" s="26">
        <v>0</v>
      </c>
    </row>
    <row r="53" spans="1:10" hidden="1" x14ac:dyDescent="0.3">
      <c r="A53" s="3">
        <v>6.5000000000000002E-2</v>
      </c>
      <c r="B53" s="13" t="s">
        <v>32</v>
      </c>
      <c r="C53" s="26">
        <v>0</v>
      </c>
    </row>
    <row r="54" spans="1:10" x14ac:dyDescent="0.3">
      <c r="B54" s="13" t="s">
        <v>33</v>
      </c>
      <c r="C54" s="26">
        <v>16</v>
      </c>
    </row>
    <row r="55" spans="1:10" x14ac:dyDescent="0.3">
      <c r="A55" s="3">
        <v>0.08</v>
      </c>
      <c r="B55" s="13" t="s">
        <v>52</v>
      </c>
      <c r="C55" s="26">
        <f>C45*A55</f>
        <v>162.88</v>
      </c>
    </row>
    <row r="56" spans="1:10" x14ac:dyDescent="0.3">
      <c r="B56" s="13" t="s">
        <v>34</v>
      </c>
      <c r="C56" s="26">
        <f>SUM(C47:C55)</f>
        <v>515.88</v>
      </c>
    </row>
    <row r="57" spans="1:10" x14ac:dyDescent="0.3">
      <c r="B57" s="14" t="s">
        <v>35</v>
      </c>
      <c r="C57" s="27">
        <f>+C45-C56</f>
        <v>1520.12</v>
      </c>
    </row>
    <row r="59" spans="1:10" ht="39" customHeight="1" x14ac:dyDescent="0.3">
      <c r="B59" s="35" t="s">
        <v>56</v>
      </c>
      <c r="C59" s="35"/>
      <c r="D59" s="35"/>
      <c r="E59" s="35"/>
      <c r="F59" s="35"/>
      <c r="G59" s="35"/>
      <c r="H59" s="35"/>
      <c r="I59" s="35"/>
      <c r="J59" s="35"/>
    </row>
    <row r="60" spans="1:10" x14ac:dyDescent="0.3">
      <c r="B60" s="29" t="s">
        <v>54</v>
      </c>
    </row>
    <row r="61" spans="1:10" x14ac:dyDescent="0.3">
      <c r="B61" s="29" t="s">
        <v>53</v>
      </c>
    </row>
    <row r="63" spans="1:10" x14ac:dyDescent="0.3">
      <c r="B63" s="30" t="s">
        <v>57</v>
      </c>
    </row>
  </sheetData>
  <mergeCells count="2">
    <mergeCell ref="G2:I2"/>
    <mergeCell ref="B59:J59"/>
  </mergeCells>
  <pageMargins left="0.7" right="0.7" top="0.75" bottom="0.7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1c67da-053d-4f5a-aebe-a6c9148af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E19B0109FF2C4EBDC11A10EA88B4D5" ma:contentTypeVersion="17" ma:contentTypeDescription="Creare un nuovo documento." ma:contentTypeScope="" ma:versionID="ffc5d64247444df0c0ba24bb7b4eb50c">
  <xsd:schema xmlns:xsd="http://www.w3.org/2001/XMLSchema" xmlns:xs="http://www.w3.org/2001/XMLSchema" xmlns:p="http://schemas.microsoft.com/office/2006/metadata/properties" xmlns:ns3="c423f647-1437-45b7-bea9-40fd37812ba2" xmlns:ns4="7a1c67da-053d-4f5a-aebe-a6c9148af9aa" targetNamespace="http://schemas.microsoft.com/office/2006/metadata/properties" ma:root="true" ma:fieldsID="9073b3ad48f1e69673ebc20e9e78d969" ns3:_="" ns4:_="">
    <xsd:import namespace="c423f647-1437-45b7-bea9-40fd37812ba2"/>
    <xsd:import namespace="7a1c67da-053d-4f5a-aebe-a6c9148af9a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3f647-1437-45b7-bea9-40fd37812b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c67da-053d-4f5a-aebe-a6c9148af9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DBE34-CB03-43C9-A92B-E9837B848CEC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7a1c67da-053d-4f5a-aebe-a6c9148af9aa"/>
    <ds:schemaRef ds:uri="http://schemas.microsoft.com/office/infopath/2007/PartnerControls"/>
    <ds:schemaRef ds:uri="http://purl.org/dc/terms/"/>
    <ds:schemaRef ds:uri="c423f647-1437-45b7-bea9-40fd37812ba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FCFB14-510C-481E-8199-CE2452B9BBD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423f647-1437-45b7-bea9-40fd37812ba2"/>
    <ds:schemaRef ds:uri="7a1c67da-053d-4f5a-aebe-a6c9148af9a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D0C544-3312-4747-9BA0-0FFDD9180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IMPIEGATI non viaggiante mar 24</vt:lpstr>
      <vt:lpstr>OPERAI non viaggiante marzo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F.Cianciaruso</dc:creator>
  <cp:lastModifiedBy>Michele Morrocchi</cp:lastModifiedBy>
  <cp:lastPrinted>2024-10-10T14:29:44Z</cp:lastPrinted>
  <dcterms:created xsi:type="dcterms:W3CDTF">2015-06-05T18:19:34Z</dcterms:created>
  <dcterms:modified xsi:type="dcterms:W3CDTF">2024-11-20T12:09:51Z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0x0101000BE19B0109FF2C4EBDC11A10EA88B4D5</vt:lpwstr>
  </property>
</Properties>
</file>